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test_zrelosten_izpit\решени_задачи\"/>
    </mc:Choice>
  </mc:AlternateContent>
  <xr:revisionPtr revIDLastSave="0" documentId="13_ncr:1_{2796A599-3B38-41B7-BC81-1CD35BC9CAF6}" xr6:coauthVersionLast="47" xr6:coauthVersionMax="47" xr10:uidLastSave="{00000000-0000-0000-0000-000000000000}"/>
  <bookViews>
    <workbookView xWindow="750" yWindow="870" windowWidth="14715" windowHeight="13995" xr2:uid="{80E1FC6E-9601-447D-BA00-49E438E59806}"/>
  </bookViews>
  <sheets>
    <sheet name="погасителен_план" sheetId="1" r:id="rId1"/>
  </sheets>
  <definedNames>
    <definedName name="Брой_вноски">#REF!</definedName>
    <definedName name="Годишен_лихвен_процент">#REF!</definedName>
    <definedName name="Размер_на_заем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60" i="1"/>
  <c r="D9" i="1"/>
  <c r="E9" i="1" s="1"/>
  <c r="E10" i="1" s="1"/>
  <c r="C68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9" i="1"/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</calcChain>
</file>

<file path=xl/sharedStrings.xml><?xml version="1.0" encoding="utf-8"?>
<sst xmlns="http://schemas.openxmlformats.org/spreadsheetml/2006/main" count="9" uniqueCount="9">
  <si>
    <t>Размер на заема</t>
  </si>
  <si>
    <t>Годишен лихвен процент</t>
  </si>
  <si>
    <t>Брой вноски</t>
  </si>
  <si>
    <t>Погасителен план</t>
  </si>
  <si>
    <t>Месечна вноска</t>
  </si>
  <si>
    <t>Номер</t>
  </si>
  <si>
    <t>Лихва</t>
  </si>
  <si>
    <t>Главница</t>
  </si>
  <si>
    <t>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</si>
</sst>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лв.&quot;;[Red]\-#,##0\ &quot;лв.&quot;"/>
    <numFmt numFmtId="8" formatCode="#,##0.00\ &quot;лв.&quot;;[Red]\-#,##0.00\ &quot;лв.&quot;"/>
    <numFmt numFmtId="44" formatCode="_-* #,##0.00\ &quot;лв.&quot;_-;\-* #,##0.00\ &quot;лв.&quot;_-;_-* &quot;-&quot;??\ &quot;лв.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8" fontId="0" fillId="0" borderId="0" xfId="0" applyNumberFormat="1"/>
    <xf numFmtId="44" fontId="0" fillId="0" borderId="0" xfId="1" applyFont="1" applyAlignment="1">
      <alignment vertical="center" wrapText="1"/>
    </xf>
    <xf numFmtId="0" fontId="2" fillId="0" borderId="0" xfId="0" applyFont="1"/>
    <xf numFmtId="9" fontId="0" fillId="0" borderId="1" xfId="0" applyNumberFormat="1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0" fontId="0" fillId="0" borderId="1" xfId="2" applyNumberFormat="1" applyFont="1" applyBorder="1" applyAlignment="1">
      <alignment vertical="center" wrapText="1"/>
    </xf>
    <xf numFmtId="6" fontId="0" fillId="0" borderId="1" xfId="0" applyNumberFormat="1" applyBorder="1" applyAlignment="1">
      <alignment vertical="center" wrapText="1"/>
    </xf>
    <xf numFmtId="4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53A50-A04F-4FC8-97AF-CF1BC1A7893B}">
  <dimension ref="A1:E68"/>
  <sheetViews>
    <sheetView tabSelected="1" topLeftCell="A16" workbookViewId="0">
      <selection activeCell="D69" sqref="D69"/>
    </sheetView>
  </sheetViews>
  <sheetFormatPr defaultRowHeight="15" x14ac:dyDescent="0.25"/>
  <cols>
    <col min="1" max="1" width="16.5703125" customWidth="1"/>
    <col min="2" max="2" width="17.28515625" customWidth="1"/>
    <col min="3" max="3" width="11.7109375" customWidth="1"/>
    <col min="4" max="4" width="12.85546875" customWidth="1"/>
    <col min="5" max="5" width="17" customWidth="1"/>
  </cols>
  <sheetData>
    <row r="1" spans="1:5" ht="15.75" x14ac:dyDescent="0.25">
      <c r="A1" s="10" t="s">
        <v>3</v>
      </c>
      <c r="B1" s="10"/>
    </row>
    <row r="2" spans="1:5" ht="20.25" customHeight="1" x14ac:dyDescent="0.25">
      <c r="A2" s="4" t="s">
        <v>0</v>
      </c>
      <c r="B2" s="5">
        <v>30000</v>
      </c>
    </row>
    <row r="3" spans="1:5" ht="36" customHeight="1" x14ac:dyDescent="0.25">
      <c r="A3" s="6" t="s">
        <v>1</v>
      </c>
      <c r="B3" s="7">
        <v>0.03</v>
      </c>
    </row>
    <row r="4" spans="1:5" ht="20.25" customHeight="1" x14ac:dyDescent="0.25">
      <c r="A4" s="8" t="s">
        <v>2</v>
      </c>
      <c r="B4" s="6">
        <v>60</v>
      </c>
    </row>
    <row r="7" spans="1:5" x14ac:dyDescent="0.25">
      <c r="A7" s="3" t="s">
        <v>5</v>
      </c>
      <c r="B7" s="3" t="s">
        <v>4</v>
      </c>
      <c r="C7" s="3" t="s">
        <v>6</v>
      </c>
      <c r="D7" s="3" t="s">
        <v>7</v>
      </c>
      <c r="E7" s="3" t="s">
        <v>8</v>
      </c>
    </row>
    <row r="8" spans="1:5" x14ac:dyDescent="0.25">
      <c r="A8" s="3"/>
      <c r="B8" s="3"/>
      <c r="C8" s="3"/>
      <c r="D8" s="3"/>
      <c r="E8" s="2">
        <v>30000</v>
      </c>
    </row>
    <row r="9" spans="1:5" x14ac:dyDescent="0.25">
      <c r="A9">
        <v>1</v>
      </c>
      <c r="B9" s="1">
        <f>PMT($B$3/60,60,-$B$2,,0)</f>
        <v>507.66247965199426</v>
      </c>
      <c r="C9" s="1">
        <f>IPMT($B$3/60,1,$B$4,-$B$2,0)</f>
        <v>15</v>
      </c>
      <c r="D9" s="1">
        <f>PPMT($B$3/60,1,$B$4,-$B$2,0)</f>
        <v>492.66247965199426</v>
      </c>
      <c r="E9" s="9">
        <f>E8-D9</f>
        <v>29507.337520348006</v>
      </c>
    </row>
    <row r="10" spans="1:5" x14ac:dyDescent="0.25">
      <c r="A10">
        <v>2</v>
      </c>
      <c r="B10" s="1">
        <f t="shared" ref="B10:B68" si="0">PMT($B$3/60,60,-$B$2,,0)</f>
        <v>507.66247965199426</v>
      </c>
      <c r="C10" s="1">
        <f>IPMT($B$3/60,2,$B$4,-$B$2,0)</f>
        <v>14.753668760174003</v>
      </c>
      <c r="D10" s="1">
        <f>PPMT($B$3/60,2,$B$4,-$B$2,0)</f>
        <v>492.90881089182028</v>
      </c>
      <c r="E10" s="9">
        <f t="shared" ref="E10:E68" si="1">E9-D10</f>
        <v>29014.428709456188</v>
      </c>
    </row>
    <row r="11" spans="1:5" x14ac:dyDescent="0.25">
      <c r="A11">
        <v>3</v>
      </c>
      <c r="B11" s="1">
        <f t="shared" si="0"/>
        <v>507.66247965199426</v>
      </c>
      <c r="C11" s="1">
        <f>IPMT($B$3/60,3,$B$4,-$B$2,0)</f>
        <v>14.507214354728093</v>
      </c>
      <c r="D11" s="1">
        <f>PPMT($B$3/60,3,$B$4,-$B$2,0)</f>
        <v>493.15526529726617</v>
      </c>
      <c r="E11" s="9">
        <f t="shared" si="1"/>
        <v>28521.27344415892</v>
      </c>
    </row>
    <row r="12" spans="1:5" x14ac:dyDescent="0.25">
      <c r="A12">
        <v>4</v>
      </c>
      <c r="B12" s="1">
        <f t="shared" si="0"/>
        <v>507.66247965199426</v>
      </c>
      <c r="C12" s="1">
        <f>IPMT($B$3/60,4,$B$4,-$B$2,0)</f>
        <v>14.260636722079459</v>
      </c>
      <c r="D12" s="1">
        <f>PPMT($B$3/60,4,$B$4,-$B$2,0)</f>
        <v>493.40184292991478</v>
      </c>
      <c r="E12" s="9">
        <f t="shared" si="1"/>
        <v>28027.871601229006</v>
      </c>
    </row>
    <row r="13" spans="1:5" x14ac:dyDescent="0.25">
      <c r="A13">
        <v>5</v>
      </c>
      <c r="B13" s="1">
        <f t="shared" si="0"/>
        <v>507.66247965199426</v>
      </c>
      <c r="C13" s="1">
        <f>IPMT($B$3/60,5,$B$4,-$B$2,0)</f>
        <v>14.013935800614501</v>
      </c>
      <c r="D13" s="1">
        <f>PPMT($B$3/60,5,$B$4,-$B$2,0)</f>
        <v>493.64854385137977</v>
      </c>
      <c r="E13" s="9">
        <f t="shared" si="1"/>
        <v>27534.223057377625</v>
      </c>
    </row>
    <row r="14" spans="1:5" x14ac:dyDescent="0.25">
      <c r="A14">
        <v>6</v>
      </c>
      <c r="B14" s="1">
        <f t="shared" si="0"/>
        <v>507.66247965199426</v>
      </c>
      <c r="C14" s="1">
        <f>IPMT($B$3/60,6,$B$4,-$B$2,0)</f>
        <v>13.767111528688813</v>
      </c>
      <c r="D14" s="1">
        <f>PPMT($B$3/60,6,$B$4,-$B$2,0)</f>
        <v>493.89536812330539</v>
      </c>
      <c r="E14" s="9">
        <f t="shared" si="1"/>
        <v>27040.327689254318</v>
      </c>
    </row>
    <row r="15" spans="1:5" x14ac:dyDescent="0.25">
      <c r="A15">
        <v>7</v>
      </c>
      <c r="B15" s="1">
        <f t="shared" si="0"/>
        <v>507.66247965199426</v>
      </c>
      <c r="C15" s="1">
        <f>IPMT($B$3/60,7,$B$4,-$B$2,0)</f>
        <v>13.520163844627161</v>
      </c>
      <c r="D15" s="1">
        <f>PPMT($B$3/60,7,$B$4,-$B$2,0)</f>
        <v>494.14231580736703</v>
      </c>
      <c r="E15" s="9">
        <f t="shared" si="1"/>
        <v>26546.185373446951</v>
      </c>
    </row>
    <row r="16" spans="1:5" x14ac:dyDescent="0.25">
      <c r="A16">
        <v>8</v>
      </c>
      <c r="B16" s="1">
        <f t="shared" si="0"/>
        <v>507.66247965199426</v>
      </c>
      <c r="C16" s="1">
        <f>IPMT($B$3/60,8,$B$4,-$B$2,0)</f>
        <v>13.273092686723476</v>
      </c>
      <c r="D16" s="1">
        <f>PPMT($B$3/60,8,$B$4,-$B$2,0)</f>
        <v>494.38938696527083</v>
      </c>
      <c r="E16" s="9">
        <f t="shared" si="1"/>
        <v>26051.79598648168</v>
      </c>
    </row>
    <row r="17" spans="1:5" x14ac:dyDescent="0.25">
      <c r="A17">
        <v>9</v>
      </c>
      <c r="B17" s="1">
        <f t="shared" si="0"/>
        <v>507.66247965199426</v>
      </c>
      <c r="C17" s="1">
        <f>IPMT($B$3/60,9,$B$4,-$B$2,0)</f>
        <v>13.025897993240843</v>
      </c>
      <c r="D17" s="1">
        <f>PPMT($B$3/60,9,$B$4,-$B$2,0)</f>
        <v>494.63658165875341</v>
      </c>
      <c r="E17" s="9">
        <f t="shared" si="1"/>
        <v>25557.159404822927</v>
      </c>
    </row>
    <row r="18" spans="1:5" x14ac:dyDescent="0.25">
      <c r="A18">
        <v>10</v>
      </c>
      <c r="B18" s="1">
        <f t="shared" si="0"/>
        <v>507.66247965199426</v>
      </c>
      <c r="C18" s="1">
        <f>IPMT($B$3/60,10,$B$4,-$B$2,0)</f>
        <v>12.778579702411465</v>
      </c>
      <c r="D18" s="1">
        <f>PPMT($B$3/60,10,$B$4,-$B$2,0)</f>
        <v>494.88389994958277</v>
      </c>
      <c r="E18" s="9">
        <f t="shared" si="1"/>
        <v>25062.275504873345</v>
      </c>
    </row>
    <row r="19" spans="1:5" x14ac:dyDescent="0.25">
      <c r="A19">
        <v>11</v>
      </c>
      <c r="B19" s="1">
        <f t="shared" si="0"/>
        <v>507.66247965199426</v>
      </c>
      <c r="C19" s="1">
        <f>IPMT($B$3/60,1,$B$4,-$B$2,0)</f>
        <v>15</v>
      </c>
      <c r="D19" s="1">
        <f>PPMT($B$3/60,11,$B$4,-$B$2,0)</f>
        <v>495.13134189955758</v>
      </c>
      <c r="E19" s="9">
        <f t="shared" si="1"/>
        <v>24567.144162973789</v>
      </c>
    </row>
    <row r="20" spans="1:5" x14ac:dyDescent="0.25">
      <c r="A20">
        <v>12</v>
      </c>
      <c r="B20" s="1">
        <f t="shared" si="0"/>
        <v>507.66247965199426</v>
      </c>
      <c r="C20" s="1">
        <f>IPMT($B$3/60,12,$B$4,-$B$2,0)</f>
        <v>12.283572081486895</v>
      </c>
      <c r="D20" s="1">
        <f>PPMT($B$3/60,12,$B$4,-$B$2,0)</f>
        <v>495.37890757050735</v>
      </c>
      <c r="E20" s="9">
        <f t="shared" si="1"/>
        <v>24071.765255403283</v>
      </c>
    </row>
    <row r="21" spans="1:5" x14ac:dyDescent="0.25">
      <c r="A21">
        <v>13</v>
      </c>
      <c r="B21" s="1">
        <f t="shared" si="0"/>
        <v>507.66247965199426</v>
      </c>
      <c r="C21" s="1">
        <f>IPMT($B$3/60,13,$B$4,-$B$2,0)</f>
        <v>12.035882627701639</v>
      </c>
      <c r="D21" s="1">
        <f>PPMT($B$3/60,13,$B$4,-$B$2,0)</f>
        <v>495.62659702429266</v>
      </c>
      <c r="E21" s="9">
        <f t="shared" si="1"/>
        <v>23576.13865837899</v>
      </c>
    </row>
    <row r="22" spans="1:5" x14ac:dyDescent="0.25">
      <c r="A22">
        <v>14</v>
      </c>
      <c r="B22" s="1">
        <f t="shared" si="0"/>
        <v>507.66247965199426</v>
      </c>
      <c r="C22" s="1">
        <f>IPMT($B$3/60,14,$B$4,-$B$2,0)</f>
        <v>11.788069329189494</v>
      </c>
      <c r="D22" s="1">
        <f>PPMT($B$3/60,14,$B$4,-$B$2,0)</f>
        <v>495.87441032280475</v>
      </c>
      <c r="E22" s="9">
        <f t="shared" si="1"/>
        <v>23080.264248056184</v>
      </c>
    </row>
    <row r="23" spans="1:5" x14ac:dyDescent="0.25">
      <c r="A23">
        <v>15</v>
      </c>
      <c r="B23" s="1">
        <f t="shared" si="0"/>
        <v>507.66247965199426</v>
      </c>
      <c r="C23" s="1">
        <f>IPMT($B$3/60,15,$B$4,-$B$2,0)</f>
        <v>11.540132124028093</v>
      </c>
      <c r="D23" s="1">
        <f>PPMT($B$3/60,15,$B$4,-$B$2,0)</f>
        <v>496.12234752796616</v>
      </c>
      <c r="E23" s="9">
        <f t="shared" si="1"/>
        <v>22584.141900528219</v>
      </c>
    </row>
    <row r="24" spans="1:5" x14ac:dyDescent="0.25">
      <c r="A24">
        <v>16</v>
      </c>
      <c r="B24" s="1">
        <f t="shared" si="0"/>
        <v>507.66247965199426</v>
      </c>
      <c r="C24" s="1">
        <f>IPMT($B$3/60,16,$B$4,-$B$2,0)</f>
        <v>11.292070950264108</v>
      </c>
      <c r="D24" s="1">
        <f>PPMT($B$3/60,16,$B$4,-$B$2,0)</f>
        <v>496.37040870173013</v>
      </c>
      <c r="E24" s="9">
        <f t="shared" si="1"/>
        <v>22087.77149182649</v>
      </c>
    </row>
    <row r="25" spans="1:5" x14ac:dyDescent="0.25">
      <c r="A25">
        <v>17</v>
      </c>
      <c r="B25" s="1">
        <f t="shared" si="0"/>
        <v>507.66247965199426</v>
      </c>
      <c r="C25" s="1">
        <f>IPMT($B$3/60,17,$B$4,-$B$2,0)</f>
        <v>11.043885745913244</v>
      </c>
      <c r="D25" s="1">
        <f>PPMT($B$3/60,17,$B$4,-$B$2,0)</f>
        <v>496.618593906081</v>
      </c>
      <c r="E25" s="9">
        <f t="shared" si="1"/>
        <v>21591.152897920409</v>
      </c>
    </row>
    <row r="26" spans="1:5" x14ac:dyDescent="0.25">
      <c r="A26">
        <v>18</v>
      </c>
      <c r="B26" s="1">
        <f t="shared" si="0"/>
        <v>507.66247965199426</v>
      </c>
      <c r="C26" s="1">
        <f>IPMT($B$3/60,18,$B$4,-$B$2,0)</f>
        <v>10.795576448960203</v>
      </c>
      <c r="D26" s="1">
        <f>PPMT($B$3/60,18,$B$4,-$B$2,0)</f>
        <v>496.8669032030341</v>
      </c>
      <c r="E26" s="9">
        <f t="shared" si="1"/>
        <v>21094.285994717375</v>
      </c>
    </row>
    <row r="27" spans="1:5" x14ac:dyDescent="0.25">
      <c r="A27">
        <v>19</v>
      </c>
      <c r="B27" s="1">
        <f t="shared" si="0"/>
        <v>507.66247965199426</v>
      </c>
      <c r="C27" s="1">
        <f>IPMT($B$3/60,19,$B$4,-$B$2,0)</f>
        <v>10.547142997358687</v>
      </c>
      <c r="D27" s="1">
        <f>PPMT($B$3/60,19,$B$4,-$B$2,0)</f>
        <v>497.11533665463554</v>
      </c>
      <c r="E27" s="9">
        <f t="shared" si="1"/>
        <v>20597.17065806274</v>
      </c>
    </row>
    <row r="28" spans="1:5" x14ac:dyDescent="0.25">
      <c r="A28">
        <v>20</v>
      </c>
      <c r="B28" s="1">
        <f t="shared" si="0"/>
        <v>507.66247965199426</v>
      </c>
      <c r="C28" s="1">
        <f>IPMT($B$3/60,20,$B$4,-$B$2,0)</f>
        <v>10.29858532903137</v>
      </c>
      <c r="D28" s="1">
        <f>PPMT($B$3/60,20,$B$4,-$B$2,0)</f>
        <v>497.36389432296289</v>
      </c>
      <c r="E28" s="9">
        <f t="shared" si="1"/>
        <v>20099.806763739776</v>
      </c>
    </row>
    <row r="29" spans="1:5" x14ac:dyDescent="0.25">
      <c r="A29">
        <v>21</v>
      </c>
      <c r="B29" s="1">
        <f t="shared" si="0"/>
        <v>507.66247965199426</v>
      </c>
      <c r="C29" s="1">
        <f>IPMT($B$3/60,21,$B$4,-$B$2,0)</f>
        <v>10.049903381869889</v>
      </c>
      <c r="D29" s="1">
        <f>PPMT($B$3/60,21,$B$4,-$B$2,0)</f>
        <v>497.61257627012435</v>
      </c>
      <c r="E29" s="9">
        <f t="shared" si="1"/>
        <v>19602.194187469653</v>
      </c>
    </row>
    <row r="30" spans="1:5" x14ac:dyDescent="0.25">
      <c r="A30">
        <v>22</v>
      </c>
      <c r="B30" s="1">
        <f t="shared" si="0"/>
        <v>507.66247965199426</v>
      </c>
      <c r="C30" s="1">
        <f>IPMT($B$3/60,22,$B$4,-$B$2,0)</f>
        <v>9.8010970937348265</v>
      </c>
      <c r="D30" s="1">
        <f>PPMT($B$3/60,22,$B$4,-$B$2,0)</f>
        <v>497.86138255825949</v>
      </c>
      <c r="E30" s="9">
        <f t="shared" si="1"/>
        <v>19104.332804911395</v>
      </c>
    </row>
    <row r="31" spans="1:5" x14ac:dyDescent="0.25">
      <c r="A31">
        <v>23</v>
      </c>
      <c r="B31" s="1">
        <f t="shared" si="0"/>
        <v>507.66247965199426</v>
      </c>
      <c r="C31" s="1">
        <f>IPMT($B$3/60,23,$B$4,-$B$2,0)</f>
        <v>9.5521664024556969</v>
      </c>
      <c r="D31" s="1">
        <f>PPMT($B$3/60,23,$B$4,-$B$2,0)</f>
        <v>498.11031324953859</v>
      </c>
      <c r="E31" s="9">
        <f t="shared" si="1"/>
        <v>18606.222491661858</v>
      </c>
    </row>
    <row r="32" spans="1:5" x14ac:dyDescent="0.25">
      <c r="A32">
        <v>24</v>
      </c>
      <c r="B32" s="1">
        <f t="shared" si="0"/>
        <v>507.66247965199426</v>
      </c>
      <c r="C32" s="1">
        <f>IPMT($B$3/60,24,$B$4,-$B$2,0)</f>
        <v>9.3031112458309249</v>
      </c>
      <c r="D32" s="1">
        <f>PPMT($B$3/60,24,$B$4,-$B$2,0)</f>
        <v>498.3593684061633</v>
      </c>
      <c r="E32" s="9">
        <f t="shared" si="1"/>
        <v>18107.863123255695</v>
      </c>
    </row>
    <row r="33" spans="1:5" x14ac:dyDescent="0.25">
      <c r="A33">
        <v>25</v>
      </c>
      <c r="B33" s="1">
        <f t="shared" si="0"/>
        <v>507.66247965199426</v>
      </c>
      <c r="C33" s="1">
        <f>IPMT($B$3/60,25,$B$4,-$B$2,0)</f>
        <v>9.0539315616278433</v>
      </c>
      <c r="D33" s="1">
        <f>PPMT($B$3/60,25,$B$4,-$B$2,0)</f>
        <v>498.60854809036641</v>
      </c>
      <c r="E33" s="9">
        <f t="shared" si="1"/>
        <v>17609.254575165327</v>
      </c>
    </row>
    <row r="34" spans="1:5" x14ac:dyDescent="0.25">
      <c r="A34">
        <v>26</v>
      </c>
      <c r="B34" s="1">
        <f t="shared" si="0"/>
        <v>507.66247965199426</v>
      </c>
      <c r="C34" s="1">
        <f>IPMT($B$3/60,26,$B$4,-$B$2,0)</f>
        <v>8.8046272875826599</v>
      </c>
      <c r="D34" s="1">
        <f>PPMT($B$3/60,26,$B$4,-$B$2,0)</f>
        <v>498.8578523644116</v>
      </c>
      <c r="E34" s="9">
        <f t="shared" si="1"/>
        <v>17110.396722800917</v>
      </c>
    </row>
    <row r="35" spans="1:5" x14ac:dyDescent="0.25">
      <c r="A35">
        <v>27</v>
      </c>
      <c r="B35" s="1">
        <f t="shared" si="0"/>
        <v>507.66247965199426</v>
      </c>
      <c r="C35" s="1">
        <f>IPMT($B$3/60,27,$B$4,-$B$2,0)</f>
        <v>8.5551983614004552</v>
      </c>
      <c r="D35" s="1">
        <f>PPMT($B$3/60,27,$B$4,-$B$2,0)</f>
        <v>499.10728129059379</v>
      </c>
      <c r="E35" s="9">
        <f t="shared" si="1"/>
        <v>16611.289441510322</v>
      </c>
    </row>
    <row r="36" spans="1:5" x14ac:dyDescent="0.25">
      <c r="A36">
        <v>28</v>
      </c>
      <c r="B36" s="1">
        <f t="shared" si="0"/>
        <v>507.66247965199426</v>
      </c>
      <c r="C36" s="1">
        <f>IPMT($B$3/60,28,$B$4,-$B$2,0)</f>
        <v>8.3056447207551596</v>
      </c>
      <c r="D36" s="1">
        <f>PPMT($B$3/60,28,$B$4,-$B$2,0)</f>
        <v>499.35683493123906</v>
      </c>
      <c r="E36" s="9">
        <f t="shared" si="1"/>
        <v>16111.932606579083</v>
      </c>
    </row>
    <row r="37" spans="1:5" x14ac:dyDescent="0.25">
      <c r="A37">
        <v>29</v>
      </c>
      <c r="B37" s="1">
        <f t="shared" si="0"/>
        <v>507.66247965199426</v>
      </c>
      <c r="C37" s="1">
        <f>IPMT($B$3/60,29,$B$4,-$B$2,0)</f>
        <v>8.055966303289539</v>
      </c>
      <c r="D37" s="1">
        <f>PPMT($B$3/60,29,$B$4,-$B$2,0)</f>
        <v>499.60651334870465</v>
      </c>
      <c r="E37" s="9">
        <f t="shared" si="1"/>
        <v>15612.326093230378</v>
      </c>
    </row>
    <row r="38" spans="1:5" x14ac:dyDescent="0.25">
      <c r="A38">
        <v>30</v>
      </c>
      <c r="B38" s="1">
        <f t="shared" si="0"/>
        <v>507.66247965199426</v>
      </c>
      <c r="C38" s="1">
        <f>IPMT($B$3/60,30,$B$4,-$B$2,0)</f>
        <v>7.8061630466151879</v>
      </c>
      <c r="D38" s="1">
        <f>PPMT($B$3/60,30,$B$4,-$B$2,0)</f>
        <v>499.85631660537905</v>
      </c>
      <c r="E38" s="9">
        <f t="shared" si="1"/>
        <v>15112.469776624999</v>
      </c>
    </row>
    <row r="39" spans="1:5" x14ac:dyDescent="0.25">
      <c r="A39">
        <v>31</v>
      </c>
      <c r="B39" s="1">
        <f t="shared" si="0"/>
        <v>507.66247965199426</v>
      </c>
      <c r="C39" s="1">
        <f>IPMT($B$3/60,31,$B$4,-$B$2,0)</f>
        <v>7.5562348883124981</v>
      </c>
      <c r="D39" s="1">
        <f>PPMT($B$3/60,31,$B$4,-$B$2,0)</f>
        <v>500.10624476368179</v>
      </c>
      <c r="E39" s="9">
        <f t="shared" si="1"/>
        <v>14612.363531861318</v>
      </c>
    </row>
    <row r="40" spans="1:5" x14ac:dyDescent="0.25">
      <c r="A40">
        <v>32</v>
      </c>
      <c r="B40" s="1">
        <f t="shared" si="0"/>
        <v>507.66247965199426</v>
      </c>
      <c r="C40" s="1">
        <f>IPMT($B$3/60,32,$B$4,-$B$2,0)</f>
        <v>7.3061817659306563</v>
      </c>
      <c r="D40" s="1">
        <f>PPMT($B$3/60,32,$B$4,-$B$2,0)</f>
        <v>500.3562978860636</v>
      </c>
      <c r="E40" s="9">
        <f t="shared" si="1"/>
        <v>14112.007233975255</v>
      </c>
    </row>
    <row r="41" spans="1:5" x14ac:dyDescent="0.25">
      <c r="A41">
        <v>33</v>
      </c>
      <c r="B41" s="1">
        <f t="shared" si="0"/>
        <v>507.66247965199426</v>
      </c>
      <c r="C41" s="1">
        <f>IPMT($B$3/60,33,$B$4,-$B$2,0)</f>
        <v>7.056003616987625</v>
      </c>
      <c r="D41" s="1">
        <f>PPMT($B$3/60,33,$B$4,-$B$2,0)</f>
        <v>500.60647603500666</v>
      </c>
      <c r="E41" s="9">
        <f t="shared" si="1"/>
        <v>13611.400757940248</v>
      </c>
    </row>
    <row r="42" spans="1:5" x14ac:dyDescent="0.25">
      <c r="A42">
        <v>34</v>
      </c>
      <c r="B42" s="1">
        <f t="shared" si="0"/>
        <v>507.66247965199426</v>
      </c>
      <c r="C42" s="1">
        <f>IPMT($B$3/60,34,$B$4,-$B$2,0)</f>
        <v>6.8057003789701218</v>
      </c>
      <c r="D42" s="1">
        <f>PPMT($B$3/60,34,$B$4,-$B$2,0)</f>
        <v>500.85677927302413</v>
      </c>
      <c r="E42" s="9">
        <f t="shared" si="1"/>
        <v>13110.543978667223</v>
      </c>
    </row>
    <row r="43" spans="1:5" x14ac:dyDescent="0.25">
      <c r="A43">
        <v>35</v>
      </c>
      <c r="B43" s="1">
        <f t="shared" si="0"/>
        <v>507.66247965199426</v>
      </c>
      <c r="C43" s="1">
        <f>IPMT($B$3/60,35,$B$4,-$B$2,0)</f>
        <v>6.5552719893336109</v>
      </c>
      <c r="D43" s="1">
        <f>PPMT($B$3/60,35,$B$4,-$B$2,0)</f>
        <v>501.10720766266064</v>
      </c>
      <c r="E43" s="9">
        <f t="shared" si="1"/>
        <v>12609.436771004563</v>
      </c>
    </row>
    <row r="44" spans="1:5" x14ac:dyDescent="0.25">
      <c r="A44">
        <v>36</v>
      </c>
      <c r="B44" s="1">
        <f t="shared" si="0"/>
        <v>507.66247965199426</v>
      </c>
      <c r="C44" s="1">
        <f>IPMT($B$3/60,36,$B$4,-$B$2,0)</f>
        <v>6.3047183855022793</v>
      </c>
      <c r="D44" s="1">
        <f>PPMT($B$3/60,36,$B$4,-$B$2,0)</f>
        <v>501.35776126649199</v>
      </c>
      <c r="E44" s="9">
        <f t="shared" si="1"/>
        <v>12108.07900973807</v>
      </c>
    </row>
    <row r="45" spans="1:5" x14ac:dyDescent="0.25">
      <c r="A45">
        <v>37</v>
      </c>
      <c r="B45" s="1">
        <f t="shared" si="0"/>
        <v>507.66247965199426</v>
      </c>
      <c r="C45" s="1">
        <f>IPMT($B$3/60,37,$B$4,-$B$2,0)</f>
        <v>6.0540395048690323</v>
      </c>
      <c r="D45" s="1">
        <f>PPMT($B$3/60,37,$B$4,-$B$2,0)</f>
        <v>501.60844014712524</v>
      </c>
      <c r="E45" s="9">
        <f t="shared" si="1"/>
        <v>11606.470569590945</v>
      </c>
    </row>
    <row r="46" spans="1:5" x14ac:dyDescent="0.25">
      <c r="A46">
        <v>38</v>
      </c>
      <c r="B46" s="1">
        <f t="shared" si="0"/>
        <v>507.66247965199426</v>
      </c>
      <c r="C46" s="1">
        <f>IPMT($B$3/60,38,$B$4,-$B$2,0)</f>
        <v>5.8032352847954698</v>
      </c>
      <c r="D46" s="1">
        <f>PPMT($B$3/60,38,$B$4,-$B$2,0)</f>
        <v>501.85924436719881</v>
      </c>
      <c r="E46" s="9">
        <f t="shared" si="1"/>
        <v>11104.611325223746</v>
      </c>
    </row>
    <row r="47" spans="1:5" x14ac:dyDescent="0.25">
      <c r="A47">
        <v>39</v>
      </c>
      <c r="B47" s="1">
        <f t="shared" si="0"/>
        <v>507.66247965199426</v>
      </c>
      <c r="C47" s="1">
        <f>IPMT($B$3/60,39,$B$4,-$B$2,0)</f>
        <v>5.5523056626118716</v>
      </c>
      <c r="D47" s="1">
        <f>PPMT($B$3/60,39,$B$4,-$B$2,0)</f>
        <v>502.11017398938242</v>
      </c>
      <c r="E47" s="9">
        <f t="shared" si="1"/>
        <v>10602.501151234364</v>
      </c>
    </row>
    <row r="48" spans="1:5" x14ac:dyDescent="0.25">
      <c r="A48">
        <v>40</v>
      </c>
      <c r="B48" s="1">
        <f t="shared" si="0"/>
        <v>507.66247965199426</v>
      </c>
      <c r="C48" s="1">
        <f>IPMT($B$3/60,40,$B$4,-$B$2,0)</f>
        <v>5.301250575617181</v>
      </c>
      <c r="D48" s="1">
        <f>PPMT($B$3/60,40,$B$4,-$B$2,0)</f>
        <v>502.36122907637707</v>
      </c>
      <c r="E48" s="9">
        <f t="shared" si="1"/>
        <v>10100.139922157987</v>
      </c>
    </row>
    <row r="49" spans="1:5" x14ac:dyDescent="0.25">
      <c r="A49">
        <v>41</v>
      </c>
      <c r="B49" s="1">
        <f t="shared" si="0"/>
        <v>507.66247965199426</v>
      </c>
      <c r="C49" s="1">
        <f>IPMT($B$3/60,41,$B$4,-$B$2,0)</f>
        <v>5.050069961078993</v>
      </c>
      <c r="D49" s="1">
        <f>PPMT($B$3/60,41,$B$4,-$B$2,0)</f>
        <v>502.61240969091529</v>
      </c>
      <c r="E49" s="9">
        <f t="shared" si="1"/>
        <v>9597.5275124670716</v>
      </c>
    </row>
    <row r="50" spans="1:5" x14ac:dyDescent="0.25">
      <c r="A50">
        <v>42</v>
      </c>
      <c r="B50" s="1">
        <f t="shared" si="0"/>
        <v>507.66247965199426</v>
      </c>
      <c r="C50" s="1">
        <f>IPMT($B$3/60,42,$B$4,-$B$2,0)</f>
        <v>4.7987637562335346</v>
      </c>
      <c r="D50" s="1">
        <f>PPMT($B$3/60,42,$B$4,-$B$2,0)</f>
        <v>502.86371589576072</v>
      </c>
      <c r="E50" s="9">
        <f t="shared" si="1"/>
        <v>9094.6637965713107</v>
      </c>
    </row>
    <row r="51" spans="1:5" x14ac:dyDescent="0.25">
      <c r="A51">
        <v>43</v>
      </c>
      <c r="B51" s="1">
        <f t="shared" si="0"/>
        <v>507.66247965199426</v>
      </c>
      <c r="C51" s="1">
        <f>IPMT($B$3/60,43,$B$4,-$B$2,0)</f>
        <v>4.5473318982856545</v>
      </c>
      <c r="D51" s="1">
        <f>PPMT($B$3/60,43,$B$4,-$B$2,0)</f>
        <v>503.11514775370858</v>
      </c>
      <c r="E51" s="9">
        <f t="shared" si="1"/>
        <v>8591.548648817603</v>
      </c>
    </row>
    <row r="52" spans="1:5" x14ac:dyDescent="0.25">
      <c r="A52">
        <v>44</v>
      </c>
      <c r="B52" s="1">
        <f t="shared" si="0"/>
        <v>507.66247965199426</v>
      </c>
      <c r="C52" s="1">
        <f>IPMT($B$3/60,44,$B$4,-$B$2,0)</f>
        <v>4.2957743244088</v>
      </c>
      <c r="D52" s="1">
        <f>PPMT($B$3/60,44,$B$4,-$B$2,0)</f>
        <v>503.36670532758546</v>
      </c>
      <c r="E52" s="9">
        <f t="shared" si="1"/>
        <v>8088.1819434900171</v>
      </c>
    </row>
    <row r="53" spans="1:5" x14ac:dyDescent="0.25">
      <c r="A53">
        <v>45</v>
      </c>
      <c r="B53" s="1">
        <f t="shared" si="0"/>
        <v>507.66247965199426</v>
      </c>
      <c r="C53" s="1">
        <f>IPMT($B$3/60,45,$B$4,-$B$2,0)</f>
        <v>4.0440909717450069</v>
      </c>
      <c r="D53" s="1">
        <f>PPMT($B$3/60,45,$B$4,-$B$2,0)</f>
        <v>503.61838868024921</v>
      </c>
      <c r="E53" s="9">
        <f t="shared" si="1"/>
        <v>7584.563554809768</v>
      </c>
    </row>
    <row r="54" spans="1:5" x14ac:dyDescent="0.25">
      <c r="A54">
        <v>46</v>
      </c>
      <c r="B54" s="1">
        <f t="shared" si="0"/>
        <v>507.66247965199426</v>
      </c>
      <c r="C54" s="1">
        <f>IPMT($B$3/60,46,$B$4,-$B$2,0)</f>
        <v>3.7922817774048827</v>
      </c>
      <c r="D54" s="1">
        <f>PPMT($B$3/60,46,$B$4,-$B$2,0)</f>
        <v>503.87019787458939</v>
      </c>
      <c r="E54" s="9">
        <f t="shared" si="1"/>
        <v>7080.6933569351786</v>
      </c>
    </row>
    <row r="55" spans="1:5" x14ac:dyDescent="0.25">
      <c r="A55">
        <v>47</v>
      </c>
      <c r="B55" s="1">
        <f t="shared" si="0"/>
        <v>507.66247965199426</v>
      </c>
      <c r="C55" s="1">
        <f>IPMT($B$3/60,47,$B$4,-$B$2,0)</f>
        <v>3.5403466784675879</v>
      </c>
      <c r="D55" s="1">
        <f>PPMT($B$3/60,47,$B$4,-$B$2,0)</f>
        <v>504.12213297352667</v>
      </c>
      <c r="E55" s="9">
        <f t="shared" si="1"/>
        <v>6576.5712239616523</v>
      </c>
    </row>
    <row r="56" spans="1:5" x14ac:dyDescent="0.25">
      <c r="A56">
        <v>48</v>
      </c>
      <c r="B56" s="1">
        <f t="shared" si="0"/>
        <v>507.66247965199426</v>
      </c>
      <c r="C56" s="1">
        <f>IPMT($B$3/60,48,$B$4,-$B$2,0)</f>
        <v>3.2882856119808244</v>
      </c>
      <c r="D56" s="1">
        <f>PPMT($B$3/60,48,$B$4,-$B$2,0)</f>
        <v>504.37419404001344</v>
      </c>
      <c r="E56" s="9">
        <f t="shared" si="1"/>
        <v>6072.1970299216391</v>
      </c>
    </row>
    <row r="57" spans="1:5" x14ac:dyDescent="0.25">
      <c r="A57">
        <v>49</v>
      </c>
      <c r="B57" s="1">
        <f t="shared" si="0"/>
        <v>507.66247965199426</v>
      </c>
      <c r="C57" s="1">
        <f>IPMT($B$3/60,49,$B$4,-$B$2,0)</f>
        <v>3.0360985149608175</v>
      </c>
      <c r="D57" s="1">
        <f>PPMT($B$3/60,49,$B$4,-$B$2,0)</f>
        <v>504.62638113703343</v>
      </c>
      <c r="E57" s="9">
        <f t="shared" si="1"/>
        <v>5567.5706487846055</v>
      </c>
    </row>
    <row r="58" spans="1:5" x14ac:dyDescent="0.25">
      <c r="A58">
        <v>50</v>
      </c>
      <c r="B58" s="1">
        <f t="shared" si="0"/>
        <v>507.66247965199426</v>
      </c>
      <c r="C58" s="1">
        <f>IPMT($B$3/60,50,$B$4,-$B$2,0)</f>
        <v>2.7837853243923014</v>
      </c>
      <c r="D58" s="1">
        <f>PPMT($B$3/60,50,$B$4,-$B$2,0)</f>
        <v>504.87869432760192</v>
      </c>
      <c r="E58" s="9">
        <f t="shared" si="1"/>
        <v>5062.6919544570037</v>
      </c>
    </row>
    <row r="59" spans="1:5" x14ac:dyDescent="0.25">
      <c r="A59">
        <v>51</v>
      </c>
      <c r="B59" s="1">
        <f t="shared" si="0"/>
        <v>507.66247965199426</v>
      </c>
      <c r="C59" s="1">
        <f>IPMT($B$3/60,51,$B$4,-$B$2,0)</f>
        <v>2.5313459772285007</v>
      </c>
      <c r="D59" s="1">
        <f>PPMT($B$3/60,51,$B$4,-$B$2,0)</f>
        <v>505.13113367476575</v>
      </c>
      <c r="E59" s="9">
        <f t="shared" si="1"/>
        <v>4557.5608207822379</v>
      </c>
    </row>
    <row r="60" spans="1:5" x14ac:dyDescent="0.25">
      <c r="A60">
        <v>52</v>
      </c>
      <c r="B60" s="1">
        <f t="shared" si="0"/>
        <v>507.66247965199426</v>
      </c>
      <c r="C60" s="1">
        <f>IPMT($B$3/60,52,$B$4,-$B$2,0)</f>
        <v>2.2787804103911178</v>
      </c>
      <c r="D60" s="1">
        <f>PPMT($B$3/60,52,$B$4,-$B$2,0)</f>
        <v>505.38369924160315</v>
      </c>
      <c r="E60" s="9">
        <f t="shared" si="1"/>
        <v>4052.1771215406347</v>
      </c>
    </row>
    <row r="61" spans="1:5" x14ac:dyDescent="0.25">
      <c r="A61">
        <v>53</v>
      </c>
      <c r="B61" s="1">
        <f t="shared" si="0"/>
        <v>507.66247965199426</v>
      </c>
      <c r="C61" s="1">
        <f>IPMT($B$3/60,53,$B$4,-$B$2,0)</f>
        <v>2.0260885607703161</v>
      </c>
      <c r="D61" s="1">
        <f>PPMT($B$3/60,53,$B$4,-$B$2,0)</f>
        <v>505.63639109122391</v>
      </c>
      <c r="E61" s="9">
        <f t="shared" si="1"/>
        <v>3546.5407304494111</v>
      </c>
    </row>
    <row r="62" spans="1:5" x14ac:dyDescent="0.25">
      <c r="A62">
        <v>54</v>
      </c>
      <c r="B62" s="1">
        <f t="shared" si="0"/>
        <v>507.66247965199426</v>
      </c>
      <c r="C62" s="1">
        <f>IPMT($B$3/60,54,$B$4,-$B$2,0)</f>
        <v>1.7732703652247039</v>
      </c>
      <c r="D62" s="1">
        <f>PPMT($B$3/60,54,$B$4,-$B$2,0)</f>
        <v>505.88920928676959</v>
      </c>
      <c r="E62" s="9">
        <f t="shared" si="1"/>
        <v>3040.6515211626415</v>
      </c>
    </row>
    <row r="63" spans="1:5" x14ac:dyDescent="0.25">
      <c r="A63">
        <v>55</v>
      </c>
      <c r="B63" s="1">
        <f t="shared" si="0"/>
        <v>507.66247965199426</v>
      </c>
      <c r="C63" s="1">
        <f>IPMT($B$3/60,55,$B$4,-$B$2,0)</f>
        <v>1.5203257605813192</v>
      </c>
      <c r="D63" s="1">
        <f>PPMT($B$3/60,55,$B$4,-$B$2,0)</f>
        <v>506.14215389141287</v>
      </c>
      <c r="E63" s="9">
        <f t="shared" si="1"/>
        <v>2534.5093672712287</v>
      </c>
    </row>
    <row r="64" spans="1:5" x14ac:dyDescent="0.25">
      <c r="A64">
        <v>56</v>
      </c>
      <c r="B64" s="1">
        <f t="shared" si="0"/>
        <v>507.66247965199426</v>
      </c>
      <c r="C64" s="1">
        <f>IPMT($B$3/60,56,$B$4,-$B$2,0)</f>
        <v>1.2672546836356131</v>
      </c>
      <c r="D64" s="1">
        <f>PPMT($B$3/60,56,$B$4,-$B$2,0)</f>
        <v>506.39522496835866</v>
      </c>
      <c r="E64" s="9">
        <f t="shared" si="1"/>
        <v>2028.1141423028701</v>
      </c>
    </row>
    <row r="65" spans="1:5" x14ac:dyDescent="0.25">
      <c r="A65">
        <v>57</v>
      </c>
      <c r="B65" s="1">
        <f t="shared" si="0"/>
        <v>507.66247965199426</v>
      </c>
      <c r="C65" s="1">
        <f>IPMT($B$3/60,57,$B$4,-$B$2,0)</f>
        <v>1.0140570711514336</v>
      </c>
      <c r="D65" s="1">
        <f>PPMT($B$3/60,57,$B$4,-$B$2,0)</f>
        <v>506.64842258084281</v>
      </c>
      <c r="E65" s="9">
        <f t="shared" si="1"/>
        <v>1521.4657197220272</v>
      </c>
    </row>
    <row r="66" spans="1:5" x14ac:dyDescent="0.25">
      <c r="A66">
        <v>58</v>
      </c>
      <c r="B66" s="1">
        <f t="shared" si="0"/>
        <v>507.66247965199426</v>
      </c>
      <c r="C66" s="1">
        <f>IPMT($B$3/60,58,$B$4,-$B$2,0)</f>
        <v>0.76073285986101213</v>
      </c>
      <c r="D66" s="1">
        <f>PPMT($B$3/60,58,$B$4,-$B$2,0)</f>
        <v>506.90174679213328</v>
      </c>
      <c r="E66" s="9">
        <f t="shared" si="1"/>
        <v>1014.5639729298939</v>
      </c>
    </row>
    <row r="67" spans="1:5" x14ac:dyDescent="0.25">
      <c r="A67">
        <v>59</v>
      </c>
      <c r="B67" s="1">
        <f t="shared" si="0"/>
        <v>507.66247965199426</v>
      </c>
      <c r="C67" s="1">
        <f>IPMT($B$3/60,59,$B$4,-$B$2,0)</f>
        <v>0.5072819864649456</v>
      </c>
      <c r="D67" s="1">
        <f>PPMT($B$3/60,59,$B$4,-$B$2,0)</f>
        <v>507.15519766552927</v>
      </c>
      <c r="E67" s="9">
        <f t="shared" si="1"/>
        <v>507.40877526436464</v>
      </c>
    </row>
    <row r="68" spans="1:5" x14ac:dyDescent="0.25">
      <c r="A68">
        <v>60</v>
      </c>
      <c r="B68" s="1">
        <f t="shared" si="0"/>
        <v>507.66247965199426</v>
      </c>
      <c r="C68" s="1">
        <f>IPMT($B$3/60,60,$B$4,-$B$2,0)</f>
        <v>0.25370438763218101</v>
      </c>
      <c r="D68" s="1">
        <f>PPMT($B$3/60,60,$B$4,-$B$2,0)</f>
        <v>507.40877526436208</v>
      </c>
      <c r="E68" s="9">
        <f t="shared" si="1"/>
        <v>2.5579538487363607E-12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погасителен_план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2020-01-20T12:54:02Z</dcterms:created>
  <dcterms:modified xsi:type="dcterms:W3CDTF">2023-03-31T06:40:46Z</dcterms:modified>
</cp:coreProperties>
</file>